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0" windowWidth="18495" windowHeight="11700" activeTab="1"/>
  </bookViews>
  <sheets>
    <sheet name="notice" sheetId="52" r:id="rId1"/>
    <sheet name="jourdan" sheetId="51" r:id="rId2"/>
  </sheets>
  <definedNames>
    <definedName name="_xlnm.Print_Area" localSheetId="1">jourdan!$B$3:$Q$46</definedName>
  </definedNames>
  <calcPr calcId="145621"/>
</workbook>
</file>

<file path=xl/calcChain.xml><?xml version="1.0" encoding="utf-8"?>
<calcChain xmlns="http://schemas.openxmlformats.org/spreadsheetml/2006/main">
  <c r="J60" i="51" l="1"/>
  <c r="M57" i="51"/>
  <c r="J57" i="51"/>
  <c r="M55" i="51"/>
  <c r="J55" i="51"/>
  <c r="J53" i="51"/>
  <c r="D20" i="51" l="1"/>
  <c r="D22" i="51" l="1"/>
  <c r="O22" i="51" s="1"/>
  <c r="J39" i="51"/>
  <c r="O29" i="51"/>
  <c r="O41" i="51" s="1"/>
  <c r="J29" i="51"/>
  <c r="D29" i="51"/>
  <c r="J26" i="51"/>
  <c r="D26" i="51"/>
  <c r="J24" i="51"/>
  <c r="P23" i="51"/>
  <c r="K23" i="51"/>
  <c r="D23" i="51"/>
  <c r="D25" i="51" s="1"/>
  <c r="E22" i="51"/>
  <c r="O21" i="51"/>
  <c r="J21" i="51"/>
  <c r="O20" i="51"/>
  <c r="J20" i="51"/>
  <c r="K17" i="51"/>
  <c r="P17" i="51" s="1"/>
  <c r="J17" i="51"/>
  <c r="J23" i="51" s="1"/>
  <c r="U6" i="51"/>
  <c r="M6" i="51"/>
  <c r="L7" i="51" s="1"/>
  <c r="D13" i="51" s="1"/>
  <c r="J22" i="51" l="1"/>
  <c r="J25" i="51" s="1"/>
  <c r="D30" i="51"/>
  <c r="D27" i="51"/>
  <c r="D32" i="51" s="1"/>
  <c r="O43" i="51"/>
  <c r="O42" i="51"/>
  <c r="J13" i="51"/>
  <c r="J15" i="51" s="1"/>
  <c r="D15" i="51"/>
  <c r="O17" i="51"/>
  <c r="O23" i="51" s="1"/>
  <c r="O25" i="51" s="1"/>
  <c r="O30" i="51" l="1"/>
  <c r="O27" i="51"/>
  <c r="D34" i="51"/>
  <c r="D35" i="51"/>
  <c r="J27" i="51"/>
  <c r="J32" i="51" s="1"/>
  <c r="J30" i="51"/>
  <c r="D37" i="51"/>
  <c r="D38" i="51" s="1"/>
  <c r="J35" i="51" l="1"/>
  <c r="J37" i="51" s="1"/>
  <c r="J38" i="51" s="1"/>
  <c r="J34" i="51"/>
  <c r="O44" i="51"/>
  <c r="O45" i="51" s="1"/>
  <c r="P27" i="51"/>
  <c r="O32" i="51"/>
  <c r="J40" i="51" l="1"/>
  <c r="M60" i="51"/>
  <c r="O34" i="51"/>
  <c r="O35" i="51"/>
  <c r="O37" i="51" l="1"/>
  <c r="O38" i="51" s="1"/>
</calcChain>
</file>

<file path=xl/sharedStrings.xml><?xml version="1.0" encoding="utf-8"?>
<sst xmlns="http://schemas.openxmlformats.org/spreadsheetml/2006/main" count="172" uniqueCount="97">
  <si>
    <t xml:space="preserve">Adresse du bien : </t>
  </si>
  <si>
    <t xml:space="preserve">Date </t>
  </si>
  <si>
    <t xml:space="preserve">Surface habitable : </t>
  </si>
  <si>
    <t>Surfaces annexes :</t>
  </si>
  <si>
    <t xml:space="preserve">Surface fiscale : </t>
  </si>
  <si>
    <t>terrasses :( 9m² max)</t>
  </si>
  <si>
    <t>Plafond ANAH 60 %</t>
  </si>
  <si>
    <t>Plafond de loyer principal</t>
  </si>
  <si>
    <t>Loyer annexe</t>
  </si>
  <si>
    <t>Loyer total</t>
  </si>
  <si>
    <t>taxe fonciere hors TEOM</t>
  </si>
  <si>
    <t>Assurance</t>
  </si>
  <si>
    <t>Charges de copro</t>
  </si>
  <si>
    <t>Frais de gestion :</t>
  </si>
  <si>
    <t xml:space="preserve">Total </t>
  </si>
  <si>
    <t>Deduction forfaitaire ANAH</t>
  </si>
  <si>
    <t xml:space="preserve">TMI personne physique : </t>
  </si>
  <si>
    <t>€/m²</t>
  </si>
  <si>
    <t>Charges annuelles</t>
  </si>
  <si>
    <t>estimation charges locatives :</t>
  </si>
  <si>
    <t xml:space="preserve">revenu annuel : </t>
  </si>
  <si>
    <t xml:space="preserve">base d'imposition : </t>
  </si>
  <si>
    <t>A.</t>
  </si>
  <si>
    <t>B.</t>
  </si>
  <si>
    <t>C.</t>
  </si>
  <si>
    <t>D.</t>
  </si>
  <si>
    <t xml:space="preserve">sous total frais reels : </t>
  </si>
  <si>
    <t>E.</t>
  </si>
  <si>
    <t>F.</t>
  </si>
  <si>
    <t>G.</t>
  </si>
  <si>
    <t>H.</t>
  </si>
  <si>
    <t>I.</t>
  </si>
  <si>
    <t>J.</t>
  </si>
  <si>
    <t xml:space="preserve">impot sur le revenu : </t>
  </si>
  <si>
    <t>resultat brut annuel : ( treso)</t>
  </si>
  <si>
    <t xml:space="preserve">Resultat net apres impot : </t>
  </si>
  <si>
    <t xml:space="preserve">soit un loyer net mensuel de : </t>
  </si>
  <si>
    <t>SANS CONVENTION ANAH</t>
  </si>
  <si>
    <t>loyer au prix du marché (hors charges)</t>
  </si>
  <si>
    <t>(G-I)</t>
  </si>
  <si>
    <t>(12xD-E)</t>
  </si>
  <si>
    <t>K.</t>
  </si>
  <si>
    <t>L.</t>
  </si>
  <si>
    <t>(I-K-L)</t>
  </si>
  <si>
    <t>M.</t>
  </si>
  <si>
    <t>N.</t>
  </si>
  <si>
    <t>(M/12)</t>
  </si>
  <si>
    <t>(60%xCx12)</t>
  </si>
  <si>
    <t>(E+F)</t>
  </si>
  <si>
    <t>frais d'agence ( EDL / bail) :</t>
  </si>
  <si>
    <t>AVEC CONVENTION ANAH "Social"</t>
  </si>
  <si>
    <t>soit :</t>
  </si>
  <si>
    <t>investissement :( AA)</t>
  </si>
  <si>
    <t>(30%xCx12)</t>
  </si>
  <si>
    <t>Bilan des surfaces</t>
  </si>
  <si>
    <t>AVEC CONVENTION ANAH "intermédiaire"</t>
  </si>
  <si>
    <t>D.1</t>
  </si>
  <si>
    <t xml:space="preserve">Loyer retenu : </t>
  </si>
  <si>
    <t>Plafond Loyer total</t>
  </si>
  <si>
    <t>C.1</t>
  </si>
  <si>
    <t>(estim 10€/m²)</t>
  </si>
  <si>
    <t>Simulation de conventions</t>
  </si>
  <si>
    <t>Plafond ANAH 30 %</t>
  </si>
  <si>
    <t>(reel ou estim )</t>
  </si>
  <si>
    <t>(reel ou estim 10€/m²)</t>
  </si>
  <si>
    <t xml:space="preserve">Proprietaire : </t>
  </si>
  <si>
    <t>Avec declaration Micro foncier</t>
  </si>
  <si>
    <t>Prime 1000 € (reparti sur 6 ans)</t>
  </si>
  <si>
    <t xml:space="preserve">TOTAL : </t>
  </si>
  <si>
    <r>
      <t>Impot CSG / RDS :</t>
    </r>
    <r>
      <rPr>
        <i/>
        <sz val="8"/>
        <color theme="1"/>
        <rFont val="Calibri"/>
        <family val="2"/>
        <scheme val="minor"/>
      </rPr>
      <t xml:space="preserve"> (15.5%)</t>
    </r>
  </si>
  <si>
    <t>Avec Déclaration au réel</t>
  </si>
  <si>
    <t>Zone :</t>
  </si>
  <si>
    <t>B1</t>
  </si>
  <si>
    <r>
      <t>Impot CSG / RDS :</t>
    </r>
    <r>
      <rPr>
        <i/>
        <sz val="8"/>
        <color theme="2" tint="-0.499984740745262"/>
        <rFont val="Calibri"/>
        <family val="2"/>
        <scheme val="minor"/>
      </rPr>
      <t xml:space="preserve"> (15.5%)</t>
    </r>
  </si>
  <si>
    <t>(  TEOM + eau + PC)</t>
  </si>
  <si>
    <t>perpignan</t>
  </si>
  <si>
    <t>T3</t>
  </si>
  <si>
    <t>jourdan</t>
  </si>
  <si>
    <t>J'ai repris vos charges courantes annuelles, appliqué nos frais de gestion ( 6.5%) et les 40 € a l'entrée d'un locataire.</t>
  </si>
  <si>
    <t>bonjour, ci joint les simulations pour les conventions ANAH.</t>
  </si>
  <si>
    <t xml:space="preserve">J'ai considéré pour l'exercice de comparaison un loyer max du marché a </t>
  </si>
  <si>
    <t>hors charges.</t>
  </si>
  <si>
    <t xml:space="preserve">il reste net/mois </t>
  </si>
  <si>
    <t xml:space="preserve">La colonne de droite simule le revenu net sans convention ANAH, en louant </t>
  </si>
  <si>
    <t>A gauche, si on passe par une convention ANAH a 30 %, et un loyer de :</t>
  </si>
  <si>
    <r>
      <t xml:space="preserve">Au milieu, si on passe par une convention ANAH a 60 %,  et un </t>
    </r>
    <r>
      <rPr>
        <b/>
        <u/>
        <sz val="11"/>
        <color theme="1"/>
        <rFont val="Calibri"/>
        <family val="2"/>
        <scheme val="minor"/>
      </rPr>
      <t>loyer de :</t>
    </r>
  </si>
  <si>
    <r>
      <t xml:space="preserve">Dans le cas d'une convention ANAH à 60%, et si vous vous engagez avec l' AIVS pour 3 ans, l'ANAH vous octroie une prime de </t>
    </r>
    <r>
      <rPr>
        <b/>
        <u/>
        <sz val="11"/>
        <color theme="1"/>
        <rFont val="Calibri"/>
        <family val="2"/>
        <scheme val="minor"/>
      </rPr>
      <t>1000 €.</t>
    </r>
  </si>
  <si>
    <t>Les dossiers ANAH sont préparés, déposés et suivis par nos soins.</t>
  </si>
  <si>
    <t>Le dossier ne peut etre constitué qu'apres l'entrée du locataire, et le delai de traitement est de 2 à 3 mois.</t>
  </si>
  <si>
    <t>Vous serez notifié par courrier retour de l' ANAH de sa validation.</t>
  </si>
  <si>
    <t>La prise d'effet reste néanmoins la date d'entrée du locataire dans les lieux.</t>
  </si>
  <si>
    <t>En début d'année, nous vous adressons un récapitulatif des sommes encaissées et des frais déductibles pour faire votre déclaration de revenus.</t>
  </si>
  <si>
    <t xml:space="preserve">Typologie : </t>
  </si>
  <si>
    <t>Les cellules en bleu ou jaune sont des cellules de saisie.</t>
  </si>
  <si>
    <t>Le reste se calcule automatiquement.</t>
  </si>
  <si>
    <t xml:space="preserve">Le calcul est approximatif puisqu'il y a une partie de la CSG/RDS qui viens en deduction l'année suivante, </t>
  </si>
  <si>
    <t>mais cela permet de comparer les rendements locatifs dans le cadre de conventions ANAH et est un support non contractuel à la décision.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</si>
</sst>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[$€-40C]_-;\-* #,##0\ [$€-40C]_-;_-* &quot;-&quot;??\ [$€-40C]_-;_-@_-"/>
    <numFmt numFmtId="165" formatCode="_-* #,##0.0\ [$€-40C]_-;\-* #,##0.0\ [$€-40C]_-;_-* &quot;-&quot;??\ [$€-40C]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1"/>
      <color theme="2" tint="-0.499984740745262"/>
      <name val="Calibri"/>
      <family val="2"/>
      <scheme val="minor"/>
    </font>
    <font>
      <i/>
      <sz val="11"/>
      <color theme="2" tint="-0.499984740745262"/>
      <name val="Calibri"/>
      <family val="2"/>
      <scheme val="minor"/>
    </font>
    <font>
      <b/>
      <i/>
      <sz val="11"/>
      <color theme="2" tint="-0.499984740745262"/>
      <name val="Calibri"/>
      <family val="2"/>
      <scheme val="minor"/>
    </font>
    <font>
      <i/>
      <sz val="8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2" fillId="0" borderId="9" xfId="0" applyNumberFormat="1" applyFont="1" applyBorder="1"/>
    <xf numFmtId="0" fontId="2" fillId="0" borderId="0" xfId="0" applyFont="1" applyBorder="1"/>
    <xf numFmtId="164" fontId="0" fillId="0" borderId="6" xfId="0" applyNumberFormat="1" applyBorder="1"/>
    <xf numFmtId="0" fontId="2" fillId="0" borderId="5" xfId="0" applyFont="1" applyBorder="1"/>
    <xf numFmtId="164" fontId="2" fillId="0" borderId="6" xfId="0" applyNumberFormat="1" applyFont="1" applyBorder="1"/>
    <xf numFmtId="0" fontId="0" fillId="0" borderId="0" xfId="0" applyAlignment="1">
      <alignment horizontal="right"/>
    </xf>
    <xf numFmtId="9" fontId="0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4" xfId="0" applyFill="1" applyBorder="1"/>
    <xf numFmtId="0" fontId="0" fillId="2" borderId="6" xfId="0" applyFill="1" applyBorder="1"/>
    <xf numFmtId="0" fontId="0" fillId="2" borderId="12" xfId="0" applyFill="1" applyBorder="1"/>
    <xf numFmtId="164" fontId="2" fillId="2" borderId="0" xfId="0" applyNumberFormat="1" applyFont="1" applyFill="1" applyBorder="1"/>
    <xf numFmtId="164" fontId="0" fillId="2" borderId="6" xfId="0" applyNumberFormat="1" applyFill="1" applyBorder="1"/>
    <xf numFmtId="0" fontId="0" fillId="2" borderId="0" xfId="0" applyFill="1"/>
    <xf numFmtId="164" fontId="0" fillId="2" borderId="0" xfId="0" applyNumberFormat="1" applyFill="1"/>
    <xf numFmtId="0" fontId="2" fillId="3" borderId="0" xfId="0" applyFont="1" applyFill="1"/>
    <xf numFmtId="0" fontId="7" fillId="0" borderId="0" xfId="0" applyFont="1" applyBorder="1"/>
    <xf numFmtId="164" fontId="2" fillId="2" borderId="9" xfId="0" applyNumberFormat="1" applyFont="1" applyFill="1" applyBorder="1"/>
    <xf numFmtId="0" fontId="8" fillId="0" borderId="0" xfId="0" applyFont="1"/>
    <xf numFmtId="10" fontId="0" fillId="4" borderId="0" xfId="0" applyNumberFormat="1" applyFill="1"/>
    <xf numFmtId="164" fontId="0" fillId="0" borderId="6" xfId="0" applyNumberFormat="1" applyFill="1" applyBorder="1"/>
    <xf numFmtId="0" fontId="0" fillId="0" borderId="0" xfId="0" applyFill="1"/>
    <xf numFmtId="165" fontId="0" fillId="0" borderId="4" xfId="0" applyNumberFormat="1" applyBorder="1"/>
    <xf numFmtId="164" fontId="2" fillId="0" borderId="0" xfId="0" applyNumberFormat="1" applyFont="1" applyFill="1" applyBorder="1"/>
    <xf numFmtId="0" fontId="6" fillId="0" borderId="10" xfId="0" applyFont="1" applyBorder="1"/>
    <xf numFmtId="0" fontId="6" fillId="0" borderId="11" xfId="0" applyFont="1" applyBorder="1"/>
    <xf numFmtId="164" fontId="6" fillId="0" borderId="12" xfId="0" applyNumberFormat="1" applyFont="1" applyBorder="1"/>
    <xf numFmtId="0" fontId="9" fillId="0" borderId="2" xfId="0" applyFont="1" applyBorder="1"/>
    <xf numFmtId="0" fontId="0" fillId="0" borderId="4" xfId="0" applyBorder="1"/>
    <xf numFmtId="164" fontId="0" fillId="0" borderId="0" xfId="0" applyNumberFormat="1" applyBorder="1"/>
    <xf numFmtId="0" fontId="4" fillId="0" borderId="6" xfId="0" applyFont="1" applyBorder="1"/>
    <xf numFmtId="0" fontId="4" fillId="0" borderId="9" xfId="0" applyFont="1" applyBorder="1"/>
    <xf numFmtId="9" fontId="10" fillId="0" borderId="0" xfId="1" applyFont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right"/>
    </xf>
    <xf numFmtId="166" fontId="2" fillId="0" borderId="9" xfId="0" applyNumberFormat="1" applyFont="1" applyBorder="1"/>
    <xf numFmtId="165" fontId="2" fillId="0" borderId="6" xfId="0" applyNumberFormat="1" applyFont="1" applyBorder="1"/>
    <xf numFmtId="164" fontId="11" fillId="2" borderId="4" xfId="0" applyNumberFormat="1" applyFont="1" applyFill="1" applyBorder="1"/>
    <xf numFmtId="164" fontId="11" fillId="2" borderId="6" xfId="0" applyNumberFormat="1" applyFont="1" applyFill="1" applyBorder="1"/>
    <xf numFmtId="164" fontId="11" fillId="0" borderId="6" xfId="0" applyNumberFormat="1" applyFont="1" applyBorder="1"/>
    <xf numFmtId="0" fontId="12" fillId="0" borderId="2" xfId="0" applyFont="1" applyBorder="1"/>
    <xf numFmtId="0" fontId="13" fillId="0" borderId="3" xfId="0" applyFont="1" applyBorder="1"/>
    <xf numFmtId="164" fontId="14" fillId="0" borderId="3" xfId="0" applyNumberFormat="1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0" xfId="0" applyFont="1" applyBorder="1"/>
    <xf numFmtId="164" fontId="13" fillId="0" borderId="0" xfId="0" applyNumberFormat="1" applyFont="1" applyBorder="1"/>
    <xf numFmtId="0" fontId="13" fillId="0" borderId="6" xfId="0" applyFont="1" applyBorder="1"/>
    <xf numFmtId="0" fontId="14" fillId="0" borderId="7" xfId="0" applyFont="1" applyBorder="1"/>
    <xf numFmtId="0" fontId="13" fillId="0" borderId="8" xfId="0" applyFont="1" applyBorder="1"/>
    <xf numFmtId="164" fontId="14" fillId="0" borderId="8" xfId="0" applyNumberFormat="1" applyFont="1" applyBorder="1"/>
    <xf numFmtId="0" fontId="13" fillId="0" borderId="9" xfId="0" applyFont="1" applyBorder="1"/>
    <xf numFmtId="164" fontId="0" fillId="5" borderId="4" xfId="0" applyNumberFormat="1" applyFill="1" applyBorder="1"/>
    <xf numFmtId="164" fontId="0" fillId="2" borderId="1" xfId="0" applyNumberFormat="1" applyFill="1" applyBorder="1"/>
    <xf numFmtId="0" fontId="0" fillId="7" borderId="11" xfId="0" applyFill="1" applyBorder="1"/>
    <xf numFmtId="0" fontId="0" fillId="7" borderId="0" xfId="0" applyFill="1"/>
    <xf numFmtId="9" fontId="0" fillId="7" borderId="12" xfId="1" applyFont="1" applyFill="1" applyBorder="1"/>
    <xf numFmtId="0" fontId="2" fillId="7" borderId="0" xfId="0" applyFont="1" applyFill="1"/>
    <xf numFmtId="0" fontId="6" fillId="6" borderId="0" xfId="0" applyFont="1" applyFill="1" applyAlignment="1">
      <alignment horizontal="right"/>
    </xf>
    <xf numFmtId="0" fontId="6" fillId="6" borderId="0" xfId="0" applyFont="1" applyFill="1"/>
    <xf numFmtId="164" fontId="6" fillId="6" borderId="0" xfId="0" applyNumberFormat="1" applyFont="1" applyFill="1"/>
    <xf numFmtId="0" fontId="6" fillId="6" borderId="7" xfId="0" applyFont="1" applyFill="1" applyBorder="1"/>
    <xf numFmtId="0" fontId="6" fillId="6" borderId="8" xfId="0" applyFont="1" applyFill="1" applyBorder="1"/>
    <xf numFmtId="164" fontId="6" fillId="6" borderId="8" xfId="0" applyNumberFormat="1" applyFont="1" applyFill="1" applyBorder="1"/>
    <xf numFmtId="164" fontId="0" fillId="6" borderId="0" xfId="0" applyNumberFormat="1" applyFill="1"/>
    <xf numFmtId="14" fontId="0" fillId="7" borderId="12" xfId="0" applyNumberFormat="1" applyFill="1" applyBorder="1"/>
    <xf numFmtId="0" fontId="2" fillId="3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18238</xdr:colOff>
      <xdr:row>63</xdr:row>
      <xdr:rowOff>19051</xdr:rowOff>
    </xdr:from>
    <xdr:to>
      <xdr:col>16</xdr:col>
      <xdr:colOff>58242</xdr:colOff>
      <xdr:row>69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4413" y="12125326"/>
          <a:ext cx="1564004" cy="112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7"/>
  <sheetViews>
    <sheetView workbookViewId="0">
      <selection activeCell="B10" sqref="B10"/>
    </sheetView>
  </sheetViews>
  <sheetFormatPr baseColWidth="10" defaultRowHeight="15" x14ac:dyDescent="0.25"/>
  <sheetData>
    <row r="3" spans="2:2" x14ac:dyDescent="0.25">
      <c r="B3" t="s">
        <v>93</v>
      </c>
    </row>
    <row r="4" spans="2:2" x14ac:dyDescent="0.25">
      <c r="B4" t="s">
        <v>94</v>
      </c>
    </row>
    <row r="6" spans="2:2" x14ac:dyDescent="0.25">
      <c r="B6" t="s">
        <v>95</v>
      </c>
    </row>
    <row r="7" spans="2:2" x14ac:dyDescent="0.25">
      <c r="B7" t="s">
        <v>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tabSelected="1" topLeftCell="B34" workbookViewId="0">
      <selection activeCell="Q68" sqref="Q68"/>
    </sheetView>
  </sheetViews>
  <sheetFormatPr baseColWidth="10" defaultRowHeight="15" x14ac:dyDescent="0.25"/>
  <cols>
    <col min="1" max="1" width="6.85546875" customWidth="1"/>
    <col min="3" max="3" width="16.5703125" customWidth="1"/>
    <col min="9" max="9" width="16.5703125" customWidth="1"/>
    <col min="14" max="14" width="15.28515625" customWidth="1"/>
  </cols>
  <sheetData>
    <row r="1" spans="1:22" x14ac:dyDescent="0.25">
      <c r="G1" s="19"/>
    </row>
    <row r="2" spans="1:22" x14ac:dyDescent="0.25">
      <c r="G2" s="19"/>
    </row>
    <row r="3" spans="1:22" ht="23.25" x14ac:dyDescent="0.35">
      <c r="B3" s="22" t="s">
        <v>61</v>
      </c>
      <c r="I3" s="19"/>
      <c r="J3" s="31" t="s">
        <v>54</v>
      </c>
      <c r="K3" s="31"/>
      <c r="L3" s="31"/>
      <c r="N3" s="11" t="s">
        <v>1</v>
      </c>
      <c r="O3" s="81">
        <v>42732</v>
      </c>
    </row>
    <row r="4" spans="1:22" x14ac:dyDescent="0.25">
      <c r="B4" s="11" t="s">
        <v>65</v>
      </c>
      <c r="C4" s="12"/>
      <c r="D4" s="70" t="s">
        <v>77</v>
      </c>
      <c r="E4" s="13"/>
      <c r="F4" s="11" t="s">
        <v>16</v>
      </c>
      <c r="G4" s="12"/>
      <c r="H4" s="72">
        <v>0.14000000000000001</v>
      </c>
      <c r="I4" s="19"/>
      <c r="J4" s="4" t="s">
        <v>2</v>
      </c>
      <c r="K4" s="5"/>
      <c r="L4" s="24">
        <v>66.95</v>
      </c>
    </row>
    <row r="5" spans="1:22" x14ac:dyDescent="0.25">
      <c r="B5" t="s">
        <v>0</v>
      </c>
      <c r="D5" s="71" t="s">
        <v>75</v>
      </c>
      <c r="F5" s="50" t="s">
        <v>71</v>
      </c>
      <c r="G5" s="73" t="s">
        <v>72</v>
      </c>
      <c r="I5" s="19"/>
      <c r="J5" s="6" t="s">
        <v>3</v>
      </c>
      <c r="K5" s="7"/>
      <c r="L5" s="25">
        <v>0</v>
      </c>
      <c r="S5" t="s">
        <v>52</v>
      </c>
      <c r="U5" s="30"/>
    </row>
    <row r="6" spans="1:22" x14ac:dyDescent="0.25">
      <c r="B6" t="s">
        <v>92</v>
      </c>
      <c r="D6" s="71" t="s">
        <v>76</v>
      </c>
      <c r="I6" s="19"/>
      <c r="J6" s="6" t="s">
        <v>5</v>
      </c>
      <c r="K6" s="7"/>
      <c r="L6" s="25">
        <v>4.2</v>
      </c>
      <c r="M6">
        <f>IF(L6&gt;9,9,L6)</f>
        <v>4.2</v>
      </c>
      <c r="T6" s="19" t="s">
        <v>51</v>
      </c>
      <c r="U6" t="e">
        <f>U5/#REF!</f>
        <v>#REF!</v>
      </c>
      <c r="V6" t="s">
        <v>17</v>
      </c>
    </row>
    <row r="7" spans="1:22" x14ac:dyDescent="0.25">
      <c r="D7" s="20"/>
      <c r="G7" s="19"/>
      <c r="I7" s="19" t="s">
        <v>22</v>
      </c>
      <c r="J7" s="9" t="s">
        <v>4</v>
      </c>
      <c r="K7" s="10"/>
      <c r="L7" s="51">
        <f>L4+IF(((M6+L5)/2)&gt;8,8,(M6+L5)/2)</f>
        <v>69.05</v>
      </c>
    </row>
    <row r="8" spans="1:22" x14ac:dyDescent="0.25">
      <c r="B8" s="23"/>
      <c r="C8" s="20"/>
      <c r="F8" s="19"/>
    </row>
    <row r="9" spans="1:22" x14ac:dyDescent="0.25">
      <c r="B9" s="31" t="s">
        <v>55</v>
      </c>
      <c r="C9" s="31"/>
      <c r="D9" s="31"/>
      <c r="G9" s="19"/>
      <c r="H9" s="31" t="s">
        <v>50</v>
      </c>
      <c r="I9" s="31"/>
      <c r="J9" s="31"/>
      <c r="M9" s="82" t="s">
        <v>37</v>
      </c>
      <c r="N9" s="82"/>
      <c r="O9" s="82"/>
    </row>
    <row r="10" spans="1:22" x14ac:dyDescent="0.25">
      <c r="A10" s="19"/>
      <c r="G10" s="19"/>
    </row>
    <row r="11" spans="1:22" x14ac:dyDescent="0.25">
      <c r="A11" s="19" t="s">
        <v>23</v>
      </c>
      <c r="B11" s="11" t="s">
        <v>62</v>
      </c>
      <c r="C11" s="12"/>
      <c r="D11" s="26">
        <v>9.7799999999999994</v>
      </c>
      <c r="E11" t="s">
        <v>17</v>
      </c>
      <c r="G11" s="19" t="s">
        <v>23</v>
      </c>
      <c r="H11" s="11" t="s">
        <v>6</v>
      </c>
      <c r="I11" s="12"/>
      <c r="J11" s="26">
        <v>6.8</v>
      </c>
      <c r="K11" t="s">
        <v>17</v>
      </c>
      <c r="M11" s="49"/>
      <c r="N11" s="29"/>
      <c r="O11" s="29"/>
    </row>
    <row r="12" spans="1:22" x14ac:dyDescent="0.25">
      <c r="A12" s="19"/>
      <c r="G12" s="19"/>
    </row>
    <row r="13" spans="1:22" x14ac:dyDescent="0.25">
      <c r="A13" s="19" t="s">
        <v>24</v>
      </c>
      <c r="B13" s="4" t="s">
        <v>7</v>
      </c>
      <c r="C13" s="5"/>
      <c r="D13" s="38">
        <f>D11*L7</f>
        <v>675.30899999999997</v>
      </c>
      <c r="G13" s="19" t="s">
        <v>24</v>
      </c>
      <c r="H13" s="4" t="s">
        <v>7</v>
      </c>
      <c r="I13" s="5"/>
      <c r="J13" s="38">
        <f>J11*L7</f>
        <v>469.53999999999996</v>
      </c>
    </row>
    <row r="14" spans="1:22" x14ac:dyDescent="0.25">
      <c r="A14" s="19" t="s">
        <v>59</v>
      </c>
      <c r="B14" s="6" t="s">
        <v>8</v>
      </c>
      <c r="C14" s="7"/>
      <c r="D14" s="25">
        <v>0</v>
      </c>
      <c r="G14" s="19" t="s">
        <v>59</v>
      </c>
      <c r="H14" s="6" t="s">
        <v>8</v>
      </c>
      <c r="I14" s="7"/>
      <c r="J14" s="25"/>
    </row>
    <row r="15" spans="1:22" x14ac:dyDescent="0.25">
      <c r="A15" s="19" t="s">
        <v>25</v>
      </c>
      <c r="B15" s="17" t="s">
        <v>58</v>
      </c>
      <c r="C15" s="15"/>
      <c r="D15" s="18">
        <f>D14+D13</f>
        <v>675.30899999999997</v>
      </c>
      <c r="G15" s="19" t="s">
        <v>25</v>
      </c>
      <c r="H15" s="17" t="s">
        <v>9</v>
      </c>
      <c r="I15" s="15"/>
      <c r="J15" s="52">
        <f>J14+J13</f>
        <v>469.53999999999996</v>
      </c>
      <c r="M15" t="s">
        <v>38</v>
      </c>
    </row>
    <row r="16" spans="1:22" x14ac:dyDescent="0.25">
      <c r="A16" s="19" t="s">
        <v>56</v>
      </c>
      <c r="B16" s="9" t="s">
        <v>57</v>
      </c>
      <c r="C16" s="10"/>
      <c r="D16" s="33">
        <v>550</v>
      </c>
      <c r="G16" s="19" t="s">
        <v>56</v>
      </c>
      <c r="H16" s="9" t="s">
        <v>57</v>
      </c>
      <c r="I16" s="10"/>
      <c r="J16" s="33">
        <v>469</v>
      </c>
      <c r="O16" s="69">
        <v>550</v>
      </c>
    </row>
    <row r="17" spans="1:16" x14ac:dyDescent="0.25">
      <c r="A17" s="19"/>
      <c r="B17" s="32" t="s">
        <v>19</v>
      </c>
      <c r="C17" s="15"/>
      <c r="D17" s="27">
        <v>90</v>
      </c>
      <c r="E17" s="21" t="s">
        <v>74</v>
      </c>
      <c r="G17" s="19"/>
      <c r="H17" s="32" t="s">
        <v>19</v>
      </c>
      <c r="I17" s="15"/>
      <c r="J17" s="39">
        <f>D17</f>
        <v>90</v>
      </c>
      <c r="K17" s="21" t="str">
        <f>E17</f>
        <v>(  TEOM + eau + PC)</v>
      </c>
      <c r="M17" s="32" t="s">
        <v>19</v>
      </c>
      <c r="N17" s="15"/>
      <c r="O17" s="39">
        <f>J17</f>
        <v>90</v>
      </c>
      <c r="P17" s="21" t="str">
        <f>K17</f>
        <v>(  TEOM + eau + PC)</v>
      </c>
    </row>
    <row r="18" spans="1:16" x14ac:dyDescent="0.25">
      <c r="A18" s="19"/>
      <c r="G18" s="19"/>
    </row>
    <row r="19" spans="1:16" x14ac:dyDescent="0.25">
      <c r="A19" s="19"/>
      <c r="B19" s="3" t="s">
        <v>18</v>
      </c>
      <c r="G19" s="19"/>
      <c r="H19" s="3" t="s">
        <v>18</v>
      </c>
      <c r="M19" s="3" t="s">
        <v>18</v>
      </c>
    </row>
    <row r="20" spans="1:16" x14ac:dyDescent="0.25">
      <c r="A20" s="19"/>
      <c r="B20" s="4" t="s">
        <v>10</v>
      </c>
      <c r="C20" s="5"/>
      <c r="D20" s="53">
        <f>924-127</f>
        <v>797</v>
      </c>
      <c r="E20" s="34" t="s">
        <v>64</v>
      </c>
      <c r="G20" s="19"/>
      <c r="H20" s="4" t="s">
        <v>10</v>
      </c>
      <c r="I20" s="5"/>
      <c r="J20" s="68">
        <f>D20</f>
        <v>797</v>
      </c>
      <c r="K20" s="34" t="s">
        <v>60</v>
      </c>
      <c r="M20" s="4" t="s">
        <v>10</v>
      </c>
      <c r="N20" s="5"/>
      <c r="O20" s="68">
        <f>D20</f>
        <v>797</v>
      </c>
      <c r="P20" s="34" t="s">
        <v>60</v>
      </c>
    </row>
    <row r="21" spans="1:16" x14ac:dyDescent="0.25">
      <c r="A21" s="19"/>
      <c r="B21" s="6" t="s">
        <v>11</v>
      </c>
      <c r="C21" s="7"/>
      <c r="D21" s="54">
        <v>150</v>
      </c>
      <c r="G21" s="19"/>
      <c r="H21" s="6" t="s">
        <v>11</v>
      </c>
      <c r="I21" s="7"/>
      <c r="J21" s="36">
        <f>D21</f>
        <v>150</v>
      </c>
      <c r="M21" s="6" t="s">
        <v>11</v>
      </c>
      <c r="N21" s="7"/>
      <c r="O21" s="36">
        <f>D21</f>
        <v>150</v>
      </c>
    </row>
    <row r="22" spans="1:16" x14ac:dyDescent="0.25">
      <c r="A22" s="19"/>
      <c r="B22" s="6" t="s">
        <v>12</v>
      </c>
      <c r="C22" s="7"/>
      <c r="D22" s="55">
        <f>1248-966</f>
        <v>282</v>
      </c>
      <c r="E22" s="29">
        <f>$L$4/2</f>
        <v>33.475000000000001</v>
      </c>
      <c r="F22" s="34" t="s">
        <v>63</v>
      </c>
      <c r="G22" s="19"/>
      <c r="H22" s="6" t="s">
        <v>12</v>
      </c>
      <c r="I22" s="7"/>
      <c r="J22" s="16">
        <f>D22</f>
        <v>282</v>
      </c>
      <c r="K22" s="37"/>
      <c r="L22" s="34"/>
      <c r="M22" s="6" t="s">
        <v>12</v>
      </c>
      <c r="N22" s="7"/>
      <c r="O22" s="16">
        <f>D22</f>
        <v>282</v>
      </c>
    </row>
    <row r="23" spans="1:16" x14ac:dyDescent="0.25">
      <c r="A23" s="19"/>
      <c r="B23" s="6" t="s">
        <v>13</v>
      </c>
      <c r="C23" s="7"/>
      <c r="D23" s="16">
        <f>(D17+D16)*12*E23</f>
        <v>499.20000000000005</v>
      </c>
      <c r="E23" s="35">
        <v>6.5000000000000002E-2</v>
      </c>
      <c r="G23" s="19"/>
      <c r="H23" s="6" t="s">
        <v>13</v>
      </c>
      <c r="I23" s="7"/>
      <c r="J23" s="16">
        <f>(J17+J16)*12*K23</f>
        <v>436.02000000000004</v>
      </c>
      <c r="K23" s="35">
        <f>E23</f>
        <v>6.5000000000000002E-2</v>
      </c>
      <c r="M23" s="6" t="s">
        <v>13</v>
      </c>
      <c r="N23" s="7"/>
      <c r="O23" s="16">
        <f>(O17+O16)*12*P23</f>
        <v>499.20000000000005</v>
      </c>
      <c r="P23" s="35">
        <f>E23</f>
        <v>6.5000000000000002E-2</v>
      </c>
    </row>
    <row r="24" spans="1:16" x14ac:dyDescent="0.25">
      <c r="A24" s="19"/>
      <c r="B24" s="6" t="s">
        <v>49</v>
      </c>
      <c r="C24" s="7"/>
      <c r="D24" s="28">
        <v>40</v>
      </c>
      <c r="E24" s="2"/>
      <c r="G24" s="19"/>
      <c r="H24" s="6" t="s">
        <v>49</v>
      </c>
      <c r="I24" s="7"/>
      <c r="J24" s="36">
        <f>D24</f>
        <v>40</v>
      </c>
      <c r="K24" s="2"/>
      <c r="M24" s="6" t="s">
        <v>49</v>
      </c>
      <c r="N24" s="7"/>
      <c r="O24" s="16">
        <v>40</v>
      </c>
      <c r="P24" s="2"/>
    </row>
    <row r="25" spans="1:16" x14ac:dyDescent="0.25">
      <c r="A25" s="19" t="s">
        <v>27</v>
      </c>
      <c r="B25" s="17" t="s">
        <v>26</v>
      </c>
      <c r="C25" s="15"/>
      <c r="D25" s="18">
        <f>SUM(D20:D24)</f>
        <v>1768.2</v>
      </c>
      <c r="E25" s="2"/>
      <c r="G25" s="19" t="s">
        <v>27</v>
      </c>
      <c r="H25" s="17" t="s">
        <v>26</v>
      </c>
      <c r="I25" s="15"/>
      <c r="J25" s="18">
        <f>SUM(J20:J24)</f>
        <v>1705.02</v>
      </c>
      <c r="K25" s="2"/>
      <c r="M25" s="17" t="s">
        <v>26</v>
      </c>
      <c r="N25" s="15"/>
      <c r="O25" s="18">
        <f>SUM(O20:O24)</f>
        <v>1768.2</v>
      </c>
      <c r="P25" s="2"/>
    </row>
    <row r="26" spans="1:16" x14ac:dyDescent="0.25">
      <c r="A26" s="19" t="s">
        <v>28</v>
      </c>
      <c r="B26" s="6" t="s">
        <v>15</v>
      </c>
      <c r="C26" s="7"/>
      <c r="D26" s="16">
        <f>0.3*D16*12</f>
        <v>1980</v>
      </c>
      <c r="E26" s="21" t="s">
        <v>53</v>
      </c>
      <c r="G26" s="19" t="s">
        <v>28</v>
      </c>
      <c r="H26" s="6" t="s">
        <v>15</v>
      </c>
      <c r="I26" s="7"/>
      <c r="J26" s="16">
        <f>0.6*J16*12</f>
        <v>3376.7999999999997</v>
      </c>
      <c r="K26" s="21" t="s">
        <v>47</v>
      </c>
      <c r="M26" s="6"/>
      <c r="N26" s="7"/>
      <c r="O26" s="16"/>
    </row>
    <row r="27" spans="1:16" x14ac:dyDescent="0.25">
      <c r="A27" s="19" t="s">
        <v>29</v>
      </c>
      <c r="B27" s="9" t="s">
        <v>14</v>
      </c>
      <c r="C27" s="10"/>
      <c r="D27" s="14">
        <f>SUM(D25+D26)</f>
        <v>3748.2</v>
      </c>
      <c r="E27" s="21" t="s">
        <v>48</v>
      </c>
      <c r="G27" s="19" t="s">
        <v>29</v>
      </c>
      <c r="H27" s="9" t="s">
        <v>14</v>
      </c>
      <c r="I27" s="10"/>
      <c r="J27" s="14">
        <f>SUM(J25+J26)</f>
        <v>5081.82</v>
      </c>
      <c r="K27" s="21" t="s">
        <v>48</v>
      </c>
      <c r="M27" s="9" t="s">
        <v>14</v>
      </c>
      <c r="N27" s="10"/>
      <c r="O27" s="14">
        <f>SUM(O25+O26)</f>
        <v>1768.2</v>
      </c>
      <c r="P27" s="48">
        <f>O27/O29</f>
        <v>0.26790909090909093</v>
      </c>
    </row>
    <row r="28" spans="1:16" x14ac:dyDescent="0.25">
      <c r="A28" s="19"/>
      <c r="G28" s="19"/>
    </row>
    <row r="29" spans="1:16" x14ac:dyDescent="0.25">
      <c r="A29" s="19" t="s">
        <v>30</v>
      </c>
      <c r="B29" t="s">
        <v>20</v>
      </c>
      <c r="D29" s="1">
        <f>D16*12</f>
        <v>6600</v>
      </c>
      <c r="G29" s="19" t="s">
        <v>30</v>
      </c>
      <c r="H29" t="s">
        <v>20</v>
      </c>
      <c r="J29" s="1">
        <f>J16*12</f>
        <v>5628</v>
      </c>
      <c r="L29" s="19" t="s">
        <v>30</v>
      </c>
      <c r="M29" t="s">
        <v>20</v>
      </c>
      <c r="O29" s="1">
        <f>O16*12</f>
        <v>6600</v>
      </c>
    </row>
    <row r="30" spans="1:16" x14ac:dyDescent="0.25">
      <c r="A30" s="19" t="s">
        <v>31</v>
      </c>
      <c r="B30" t="s">
        <v>34</v>
      </c>
      <c r="D30" s="1">
        <f>(D16*12)-D25</f>
        <v>4831.8</v>
      </c>
      <c r="E30" s="21" t="s">
        <v>40</v>
      </c>
      <c r="G30" s="19" t="s">
        <v>31</v>
      </c>
      <c r="H30" t="s">
        <v>34</v>
      </c>
      <c r="J30" s="1">
        <f>(J16*12)-J25</f>
        <v>3922.98</v>
      </c>
      <c r="K30" s="21" t="s">
        <v>40</v>
      </c>
      <c r="L30" s="19" t="s">
        <v>31</v>
      </c>
      <c r="M30" t="s">
        <v>34</v>
      </c>
      <c r="O30" s="1">
        <f>(O16*12)-O25</f>
        <v>4831.8</v>
      </c>
    </row>
    <row r="31" spans="1:16" x14ac:dyDescent="0.25">
      <c r="A31" s="19"/>
      <c r="E31" s="21"/>
      <c r="G31" s="19"/>
      <c r="K31" s="21"/>
      <c r="M31" s="43" t="s">
        <v>70</v>
      </c>
      <c r="N31" s="5"/>
      <c r="O31" s="5"/>
      <c r="P31" s="44"/>
    </row>
    <row r="32" spans="1:16" x14ac:dyDescent="0.25">
      <c r="A32" s="19" t="s">
        <v>32</v>
      </c>
      <c r="B32" t="s">
        <v>21</v>
      </c>
      <c r="D32" s="1">
        <f>D29-D27</f>
        <v>2851.8</v>
      </c>
      <c r="E32" s="21" t="s">
        <v>39</v>
      </c>
      <c r="G32" s="19" t="s">
        <v>32</v>
      </c>
      <c r="H32" t="s">
        <v>21</v>
      </c>
      <c r="J32" s="1">
        <f>J29-J27</f>
        <v>546.18000000000029</v>
      </c>
      <c r="K32" s="21" t="s">
        <v>39</v>
      </c>
      <c r="L32" s="19" t="s">
        <v>32</v>
      </c>
      <c r="M32" s="6" t="s">
        <v>21</v>
      </c>
      <c r="N32" s="7"/>
      <c r="O32" s="45">
        <f>O29-O27</f>
        <v>4831.8</v>
      </c>
      <c r="P32" s="46" t="s">
        <v>39</v>
      </c>
    </row>
    <row r="33" spans="1:16" x14ac:dyDescent="0.25">
      <c r="A33" s="19"/>
      <c r="G33" s="19"/>
      <c r="L33" s="19"/>
      <c r="M33" s="6"/>
      <c r="N33" s="7"/>
      <c r="O33" s="7"/>
      <c r="P33" s="8"/>
    </row>
    <row r="34" spans="1:16" x14ac:dyDescent="0.25">
      <c r="A34" s="19" t="s">
        <v>41</v>
      </c>
      <c r="B34" t="s">
        <v>69</v>
      </c>
      <c r="D34" s="1">
        <f>D32*0.155</f>
        <v>442.02900000000005</v>
      </c>
      <c r="G34" s="19" t="s">
        <v>41</v>
      </c>
      <c r="H34" t="s">
        <v>69</v>
      </c>
      <c r="J34" s="1">
        <f>J32*0.155</f>
        <v>84.657900000000041</v>
      </c>
      <c r="L34" s="19" t="s">
        <v>41</v>
      </c>
      <c r="M34" s="6" t="s">
        <v>69</v>
      </c>
      <c r="N34" s="7"/>
      <c r="O34" s="45">
        <f>O32*0.155</f>
        <v>748.92899999999997</v>
      </c>
      <c r="P34" s="8"/>
    </row>
    <row r="35" spans="1:16" x14ac:dyDescent="0.25">
      <c r="A35" s="19" t="s">
        <v>42</v>
      </c>
      <c r="B35" t="s">
        <v>33</v>
      </c>
      <c r="D35" s="1">
        <f>D32*$H$4</f>
        <v>399.25200000000007</v>
      </c>
      <c r="G35" s="19" t="s">
        <v>42</v>
      </c>
      <c r="H35" t="s">
        <v>33</v>
      </c>
      <c r="J35" s="1">
        <f>J32*$H$4</f>
        <v>76.465200000000053</v>
      </c>
      <c r="L35" s="19" t="s">
        <v>42</v>
      </c>
      <c r="M35" s="6" t="s">
        <v>33</v>
      </c>
      <c r="N35" s="7"/>
      <c r="O35" s="45">
        <f>O32*$H$4</f>
        <v>676.45200000000011</v>
      </c>
      <c r="P35" s="8"/>
    </row>
    <row r="36" spans="1:16" x14ac:dyDescent="0.25">
      <c r="A36" s="19"/>
      <c r="G36" s="19"/>
      <c r="L36" s="19"/>
      <c r="M36" s="6"/>
      <c r="N36" s="7"/>
      <c r="O36" s="7"/>
      <c r="P36" s="8"/>
    </row>
    <row r="37" spans="1:16" x14ac:dyDescent="0.25">
      <c r="A37" s="19" t="s">
        <v>44</v>
      </c>
      <c r="B37" t="s">
        <v>35</v>
      </c>
      <c r="D37" s="1">
        <f>D30-D34-D35</f>
        <v>3990.5189999999998</v>
      </c>
      <c r="E37" s="21" t="s">
        <v>43</v>
      </c>
      <c r="G37" s="19" t="s">
        <v>44</v>
      </c>
      <c r="H37" t="s">
        <v>35</v>
      </c>
      <c r="J37" s="1">
        <f>J30-J34-J35</f>
        <v>3761.8568999999998</v>
      </c>
      <c r="K37" s="21" t="s">
        <v>43</v>
      </c>
      <c r="L37" s="19" t="s">
        <v>44</v>
      </c>
      <c r="M37" s="6" t="s">
        <v>35</v>
      </c>
      <c r="N37" s="7"/>
      <c r="O37" s="45">
        <f>O30-O34-O35</f>
        <v>3406.4189999999999</v>
      </c>
      <c r="P37" s="46" t="s">
        <v>43</v>
      </c>
    </row>
    <row r="38" spans="1:16" x14ac:dyDescent="0.25">
      <c r="A38" s="74" t="s">
        <v>45</v>
      </c>
      <c r="B38" s="75" t="s">
        <v>36</v>
      </c>
      <c r="C38" s="75"/>
      <c r="D38" s="76">
        <f>D37/12</f>
        <v>332.54325</v>
      </c>
      <c r="E38" s="21" t="s">
        <v>46</v>
      </c>
      <c r="G38" s="74" t="s">
        <v>45</v>
      </c>
      <c r="H38" s="75" t="s">
        <v>36</v>
      </c>
      <c r="I38" s="75"/>
      <c r="J38" s="76">
        <f>J37/12</f>
        <v>313.48807499999998</v>
      </c>
      <c r="K38" s="21" t="s">
        <v>46</v>
      </c>
      <c r="L38" s="74" t="s">
        <v>45</v>
      </c>
      <c r="M38" s="77" t="s">
        <v>36</v>
      </c>
      <c r="N38" s="78"/>
      <c r="O38" s="79">
        <f>O37/12</f>
        <v>283.86824999999999</v>
      </c>
      <c r="P38" s="47" t="s">
        <v>46</v>
      </c>
    </row>
    <row r="39" spans="1:16" x14ac:dyDescent="0.25">
      <c r="H39" s="3" t="s">
        <v>67</v>
      </c>
      <c r="J39" s="1">
        <f>1000/6/12</f>
        <v>13.888888888888888</v>
      </c>
    </row>
    <row r="40" spans="1:16" x14ac:dyDescent="0.25">
      <c r="H40" s="40"/>
      <c r="I40" s="41" t="s">
        <v>68</v>
      </c>
      <c r="J40" s="42">
        <f>J38+J39</f>
        <v>327.37696388888889</v>
      </c>
      <c r="M40" s="56" t="s">
        <v>66</v>
      </c>
      <c r="N40" s="57"/>
      <c r="O40" s="58"/>
      <c r="P40" s="59"/>
    </row>
    <row r="41" spans="1:16" x14ac:dyDescent="0.25">
      <c r="I41" s="1"/>
      <c r="M41" s="60" t="s">
        <v>21</v>
      </c>
      <c r="N41" s="61"/>
      <c r="O41" s="62">
        <f>O29*0.7</f>
        <v>4620</v>
      </c>
      <c r="P41" s="63"/>
    </row>
    <row r="42" spans="1:16" x14ac:dyDescent="0.25">
      <c r="M42" s="60" t="s">
        <v>73</v>
      </c>
      <c r="N42" s="61"/>
      <c r="O42" s="62">
        <f>O41*0.155</f>
        <v>716.1</v>
      </c>
      <c r="P42" s="63"/>
    </row>
    <row r="43" spans="1:16" x14ac:dyDescent="0.25">
      <c r="M43" s="60" t="s">
        <v>33</v>
      </c>
      <c r="N43" s="61"/>
      <c r="O43" s="62">
        <f>O41*$H$4</f>
        <v>646.80000000000007</v>
      </c>
      <c r="P43" s="63"/>
    </row>
    <row r="44" spans="1:16" x14ac:dyDescent="0.25">
      <c r="M44" s="60" t="s">
        <v>35</v>
      </c>
      <c r="N44" s="61"/>
      <c r="O44" s="62">
        <f>O30-O42-O43</f>
        <v>3468.8999999999996</v>
      </c>
      <c r="P44" s="63"/>
    </row>
    <row r="45" spans="1:16" x14ac:dyDescent="0.25">
      <c r="M45" s="64" t="s">
        <v>36</v>
      </c>
      <c r="N45" s="65"/>
      <c r="O45" s="66">
        <f>O44/12</f>
        <v>289.07499999999999</v>
      </c>
      <c r="P45" s="67"/>
    </row>
    <row r="51" spans="4:13" x14ac:dyDescent="0.25">
      <c r="D51" t="s">
        <v>79</v>
      </c>
    </row>
    <row r="52" spans="4:13" x14ac:dyDescent="0.25">
      <c r="D52" t="s">
        <v>78</v>
      </c>
    </row>
    <row r="53" spans="4:13" x14ac:dyDescent="0.25">
      <c r="D53" t="s">
        <v>80</v>
      </c>
      <c r="J53" s="80">
        <f>O16</f>
        <v>550</v>
      </c>
      <c r="K53" t="s">
        <v>81</v>
      </c>
    </row>
    <row r="55" spans="4:13" x14ac:dyDescent="0.25">
      <c r="D55" t="s">
        <v>83</v>
      </c>
      <c r="J55" s="80">
        <f>J53</f>
        <v>550</v>
      </c>
      <c r="K55" t="s">
        <v>82</v>
      </c>
      <c r="M55" s="80">
        <f>O38</f>
        <v>283.86824999999999</v>
      </c>
    </row>
    <row r="57" spans="4:13" x14ac:dyDescent="0.25">
      <c r="D57" t="s">
        <v>84</v>
      </c>
      <c r="J57" s="80">
        <f>D16</f>
        <v>550</v>
      </c>
      <c r="K57" t="s">
        <v>82</v>
      </c>
      <c r="M57" s="80">
        <f>D38</f>
        <v>332.54325</v>
      </c>
    </row>
    <row r="60" spans="4:13" x14ac:dyDescent="0.25">
      <c r="D60" t="s">
        <v>85</v>
      </c>
      <c r="J60" s="80">
        <f>J16</f>
        <v>469</v>
      </c>
      <c r="K60" t="s">
        <v>82</v>
      </c>
      <c r="M60" s="80">
        <f>J38</f>
        <v>313.48807499999998</v>
      </c>
    </row>
    <row r="62" spans="4:13" x14ac:dyDescent="0.25">
      <c r="D62" t="s">
        <v>86</v>
      </c>
    </row>
    <row r="64" spans="4:13" x14ac:dyDescent="0.25">
      <c r="D64" t="s">
        <v>87</v>
      </c>
    </row>
    <row r="65" spans="4:4" x14ac:dyDescent="0.25">
      <c r="D65" t="s">
        <v>88</v>
      </c>
    </row>
    <row r="66" spans="4:4" x14ac:dyDescent="0.25">
      <c r="D66" t="s">
        <v>89</v>
      </c>
    </row>
    <row r="67" spans="4:4" x14ac:dyDescent="0.25">
      <c r="D67" t="s">
        <v>90</v>
      </c>
    </row>
    <row r="69" spans="4:4" x14ac:dyDescent="0.25">
      <c r="D69" t="s">
        <v>91</v>
      </c>
    </row>
  </sheetData>
  <mergeCells count="1">
    <mergeCell ref="M9:O9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notice</vt:lpstr>
      <vt:lpstr>jourdan</vt:lpstr>
      <vt:lpstr>jourdan!Zone_d_impression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2017-01-05T16:45:08Z</dcterms:modified>
</cp:coreProperties>
</file>